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700" windowHeight="7620"/>
  </bookViews>
  <sheets>
    <sheet name="one-off" sheetId="1" r:id="rId1"/>
    <sheet name="pictures" sheetId="2" r:id="rId2"/>
    <sheet name="curves" sheetId="3" r:id="rId3"/>
  </sheets>
  <definedNames>
    <definedName name="A">'one-off'!$B$9</definedName>
    <definedName name="D">'one-off'!$B$5</definedName>
    <definedName name="F">'one-off'!$B$4</definedName>
    <definedName name="Freq2">curves!$B$25</definedName>
    <definedName name="L">'one-off'!$B$13</definedName>
    <definedName name="P">'one-off'!$B$6</definedName>
    <definedName name="Pipe2">curves!$B$26</definedName>
    <definedName name="power2">curves!$B$24</definedName>
    <definedName name="Q">'one-off'!$B$16</definedName>
    <definedName name="Rl">'one-off'!$B$11</definedName>
    <definedName name="Rr">'one-off'!$B$10</definedName>
    <definedName name="S">'one-off'!$B$3</definedName>
    <definedName name="Xl">'one-off'!$B$14</definedName>
  </definedNames>
  <calcPr calcId="125725"/>
  <fileRecoveryPr repairLoad="1"/>
</workbook>
</file>

<file path=xl/calcChain.xml><?xml version="1.0" encoding="utf-8"?>
<calcChain xmlns="http://schemas.openxmlformats.org/spreadsheetml/2006/main">
  <c r="B13" i="1"/>
  <c r="B14" s="1"/>
  <c r="B15" s="1"/>
  <c r="C13"/>
  <c r="K23"/>
  <c r="L23" s="1"/>
  <c r="J23"/>
  <c r="K22"/>
  <c r="L22" s="1"/>
  <c r="J22"/>
  <c r="J21"/>
  <c r="K21" s="1"/>
  <c r="L21" s="1"/>
  <c r="B11"/>
  <c r="H31" i="3"/>
  <c r="H47"/>
  <c r="H46"/>
  <c r="H45"/>
  <c r="H44"/>
  <c r="H43"/>
  <c r="H42"/>
  <c r="H41"/>
  <c r="H40"/>
  <c r="H39"/>
  <c r="H38"/>
  <c r="H37"/>
  <c r="H36"/>
  <c r="H35"/>
  <c r="H34"/>
  <c r="H33"/>
  <c r="H32"/>
  <c r="D47"/>
  <c r="D46"/>
  <c r="D45"/>
  <c r="D44"/>
  <c r="D43"/>
  <c r="D42"/>
  <c r="D41"/>
  <c r="D40"/>
  <c r="D39"/>
  <c r="D38"/>
  <c r="D37"/>
  <c r="D36"/>
  <c r="D35"/>
  <c r="D34"/>
  <c r="D33"/>
  <c r="D32"/>
  <c r="D31"/>
  <c r="E47"/>
  <c r="E46"/>
  <c r="E45"/>
  <c r="E44"/>
  <c r="E43"/>
  <c r="E42"/>
  <c r="E41"/>
  <c r="E40"/>
  <c r="E39"/>
  <c r="E38"/>
  <c r="E37"/>
  <c r="E36"/>
  <c r="E35"/>
  <c r="E34"/>
  <c r="E33"/>
  <c r="E32"/>
  <c r="E31"/>
  <c r="C47"/>
  <c r="C46"/>
  <c r="C45"/>
  <c r="C44"/>
  <c r="C31"/>
  <c r="B47"/>
  <c r="I47" s="1"/>
  <c r="J47" s="1"/>
  <c r="B46"/>
  <c r="B45"/>
  <c r="B44"/>
  <c r="B31"/>
  <c r="A32"/>
  <c r="C32" s="1"/>
  <c r="B9" i="1"/>
  <c r="C10" s="1"/>
  <c r="L20"/>
  <c r="L19"/>
  <c r="L18"/>
  <c r="L17"/>
  <c r="L16"/>
  <c r="J19"/>
  <c r="K19" s="1"/>
  <c r="J20" s="1"/>
  <c r="K20" s="1"/>
  <c r="J18"/>
  <c r="K18" s="1"/>
  <c r="K17"/>
  <c r="J17"/>
  <c r="C3"/>
  <c r="J11"/>
  <c r="J10"/>
  <c r="E19"/>
  <c r="E18"/>
  <c r="E17"/>
  <c r="C20"/>
  <c r="B18"/>
  <c r="B10" l="1"/>
  <c r="B16" s="1"/>
  <c r="F45" i="3"/>
  <c r="G45" s="1"/>
  <c r="I44"/>
  <c r="J44" s="1"/>
  <c r="I46"/>
  <c r="J46" s="1"/>
  <c r="I31"/>
  <c r="J31" s="1"/>
  <c r="F31"/>
  <c r="G31" s="1"/>
  <c r="B32"/>
  <c r="F44"/>
  <c r="G44" s="1"/>
  <c r="F47"/>
  <c r="G47" s="1"/>
  <c r="F46"/>
  <c r="G46" s="1"/>
  <c r="A33"/>
  <c r="B12" i="1" l="1"/>
  <c r="C12" s="1"/>
  <c r="K44" i="3"/>
  <c r="L44" s="1"/>
  <c r="K46"/>
  <c r="L46" s="1"/>
  <c r="K31"/>
  <c r="L31" s="1"/>
  <c r="I45"/>
  <c r="J45" s="1"/>
  <c r="B33"/>
  <c r="C33"/>
  <c r="A34"/>
  <c r="K47"/>
  <c r="I32"/>
  <c r="J32" s="1"/>
  <c r="F32"/>
  <c r="G32" s="1"/>
  <c r="B17" i="1"/>
  <c r="B19"/>
  <c r="B20" s="1"/>
  <c r="M44" i="3" l="1"/>
  <c r="M46"/>
  <c r="M31"/>
  <c r="K45"/>
  <c r="L45" s="1"/>
  <c r="I33"/>
  <c r="J33" s="1"/>
  <c r="F33"/>
  <c r="G33" s="1"/>
  <c r="K32"/>
  <c r="L32" s="1"/>
  <c r="A35"/>
  <c r="B34"/>
  <c r="C34"/>
  <c r="L47"/>
  <c r="M47"/>
  <c r="M45" l="1"/>
  <c r="I34"/>
  <c r="J34" s="1"/>
  <c r="F34"/>
  <c r="G34" s="1"/>
  <c r="M32"/>
  <c r="A36"/>
  <c r="B35"/>
  <c r="C35"/>
  <c r="K33"/>
  <c r="L33" s="1"/>
  <c r="M33" l="1"/>
  <c r="K34"/>
  <c r="L34" s="1"/>
  <c r="A37"/>
  <c r="C36"/>
  <c r="B36"/>
  <c r="I35"/>
  <c r="J35" s="1"/>
  <c r="F35"/>
  <c r="G35" s="1"/>
  <c r="K35" l="1"/>
  <c r="L35" s="1"/>
  <c r="A38"/>
  <c r="B37"/>
  <c r="C37"/>
  <c r="I36"/>
  <c r="J36" s="1"/>
  <c r="F36"/>
  <c r="G36" s="1"/>
  <c r="M34"/>
  <c r="M35" l="1"/>
  <c r="A39"/>
  <c r="B38"/>
  <c r="C38"/>
  <c r="K36"/>
  <c r="L36" s="1"/>
  <c r="F37"/>
  <c r="G37" s="1"/>
  <c r="I37"/>
  <c r="J37" s="1"/>
  <c r="M36" l="1"/>
  <c r="K37"/>
  <c r="L37" s="1"/>
  <c r="A40"/>
  <c r="B39"/>
  <c r="C39"/>
  <c r="I38"/>
  <c r="J38" s="1"/>
  <c r="F38"/>
  <c r="G38" s="1"/>
  <c r="M37" l="1"/>
  <c r="K38"/>
  <c r="L38" s="1"/>
  <c r="I39"/>
  <c r="J39" s="1"/>
  <c r="F39"/>
  <c r="G39" s="1"/>
  <c r="A41"/>
  <c r="C40"/>
  <c r="B40"/>
  <c r="K39" l="1"/>
  <c r="L39" s="1"/>
  <c r="I40"/>
  <c r="J40" s="1"/>
  <c r="F40"/>
  <c r="G40" s="1"/>
  <c r="A42"/>
  <c r="B41"/>
  <c r="C41"/>
  <c r="M38"/>
  <c r="M39" l="1"/>
  <c r="K40"/>
  <c r="L40" s="1"/>
  <c r="A43"/>
  <c r="B42"/>
  <c r="C42"/>
  <c r="F41"/>
  <c r="G41" s="1"/>
  <c r="I41"/>
  <c r="J41" s="1"/>
  <c r="K41" l="1"/>
  <c r="L41" s="1"/>
  <c r="B43"/>
  <c r="C43"/>
  <c r="I42"/>
  <c r="J42" s="1"/>
  <c r="F42"/>
  <c r="G42" s="1"/>
  <c r="M40"/>
  <c r="I43" l="1"/>
  <c r="J43" s="1"/>
  <c r="F43"/>
  <c r="G43" s="1"/>
  <c r="K42"/>
  <c r="L42" s="1"/>
  <c r="M41"/>
  <c r="M42" l="1"/>
  <c r="K43"/>
  <c r="L43" s="1"/>
  <c r="M43" l="1"/>
</calcChain>
</file>

<file path=xl/sharedStrings.xml><?xml version="1.0" encoding="utf-8"?>
<sst xmlns="http://schemas.openxmlformats.org/spreadsheetml/2006/main" count="57" uniqueCount="53">
  <si>
    <t xml:space="preserve">S = loop  circumference (ft) </t>
  </si>
  <si>
    <t>F=operating frequency (MHz)</t>
  </si>
  <si>
    <t>D=diameter of conductor (in)</t>
  </si>
  <si>
    <t>P=transmitter power (W)</t>
  </si>
  <si>
    <t>A= area (ft sq)</t>
  </si>
  <si>
    <t>calculated values</t>
  </si>
  <si>
    <t>chosen values</t>
  </si>
  <si>
    <t>Rl=loss resistance (ohms)</t>
  </si>
  <si>
    <t>Rr=radiation resistance (ohms)</t>
  </si>
  <si>
    <t>efficiency</t>
  </si>
  <si>
    <t>CT=capacitive tuning cap (F)</t>
  </si>
  <si>
    <t>Bandwidth (Hz)</t>
  </si>
  <si>
    <t>Cd=distributed capacitance</t>
  </si>
  <si>
    <t>Vc=capacitor voltage (V)</t>
  </si>
  <si>
    <t>efficiency (dB)</t>
  </si>
  <si>
    <t>per W5QJR artivle June QST</t>
  </si>
  <si>
    <t>L=loop inductance (H)</t>
  </si>
  <si>
    <t>Q=Quality Factor</t>
  </si>
  <si>
    <t>L=18</t>
  </si>
  <si>
    <t>F (MHz)</t>
  </si>
  <si>
    <t>Ct (Pf)</t>
  </si>
  <si>
    <t>Fmax</t>
  </si>
  <si>
    <t>Fmin</t>
  </si>
  <si>
    <t>10.18 Mhz</t>
  </si>
  <si>
    <t>4.39 MHz</t>
  </si>
  <si>
    <t>Cmax</t>
  </si>
  <si>
    <t>Cmin</t>
  </si>
  <si>
    <t>158 pF</t>
  </si>
  <si>
    <t>25 pF</t>
  </si>
  <si>
    <t>MHz/pF</t>
  </si>
  <si>
    <t>pF/MHz</t>
  </si>
  <si>
    <t>diameter (ft)</t>
  </si>
  <si>
    <t>skin depths</t>
  </si>
  <si>
    <t>remainder</t>
  </si>
  <si>
    <t>starting value</t>
  </si>
  <si>
    <t>dB</t>
  </si>
  <si>
    <t>tuning sensitivity from experimental data</t>
  </si>
  <si>
    <t>18 ft circumference</t>
  </si>
  <si>
    <t>capacitor amps</t>
  </si>
  <si>
    <t>efficiency (%)</t>
  </si>
  <si>
    <t>area (sq.ft)</t>
  </si>
  <si>
    <t>radiation resistance (ohms)</t>
  </si>
  <si>
    <t>loss resistance (ohms)</t>
  </si>
  <si>
    <t>loop diameter(ft)</t>
  </si>
  <si>
    <t>circum. (ft)</t>
  </si>
  <si>
    <t>loop inductance (H)</t>
  </si>
  <si>
    <t>loop reactance (ohms)</t>
  </si>
  <si>
    <t>Xl=inductive reactance (ohms)</t>
  </si>
  <si>
    <t>frequency (MHz)</t>
  </si>
  <si>
    <t>power (W)</t>
  </si>
  <si>
    <t>pipe diameter (inches)</t>
  </si>
  <si>
    <t>choose three variables above: power, frequency and resonating loop diameter</t>
  </si>
  <si>
    <t>CT=capacitive tuning cap (pF)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</si>
</sst>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/>
    <xf numFmtId="11" fontId="0" fillId="0" borderId="0" xfId="0" applyNumberFormat="1"/>
    <xf numFmtId="0" fontId="0" fillId="4" borderId="0" xfId="0" applyFill="1"/>
    <xf numFmtId="1" fontId="0" fillId="0" borderId="0" xfId="0" applyNumberFormat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5" fontId="0" fillId="0" borderId="0" xfId="0" applyNumberFormat="1"/>
    <xf numFmtId="2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40</a:t>
            </a:r>
            <a:r>
              <a:rPr lang="en-US" baseline="0"/>
              <a:t> meters, 20 W, 1/2 (nominal ) inch copper resonator</a:t>
            </a:r>
            <a:endParaRPr lang="en-US"/>
          </a:p>
        </c:rich>
      </c:tx>
    </c:title>
    <c:plotArea>
      <c:layout/>
      <c:scatterChart>
        <c:scatterStyle val="lineMarker"/>
        <c:ser>
          <c:idx val="8"/>
          <c:order val="1"/>
          <c:tx>
            <c:strRef>
              <c:f>curves!$J$30</c:f>
              <c:strCache>
                <c:ptCount val="1"/>
                <c:pt idx="0">
                  <c:v>CT=capacitive tuning cap (pF)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xVal>
            <c:numRef>
              <c:f>curves!$A$31:$A$47</c:f>
              <c:numCache>
                <c:formatCode>General</c:formatCode>
                <c:ptCount val="17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xVal>
          <c:yVal>
            <c:numRef>
              <c:f>curves!$J$31:$J$47</c:f>
              <c:numCache>
                <c:formatCode>0</c:formatCode>
                <c:ptCount val="17"/>
                <c:pt idx="0">
                  <c:v>218.71812292375748</c:v>
                </c:pt>
                <c:pt idx="1">
                  <c:v>198.05809388900283</c:v>
                </c:pt>
                <c:pt idx="2">
                  <c:v>180.73213185663394</c:v>
                </c:pt>
                <c:pt idx="3">
                  <c:v>166.01182521887389</c:v>
                </c:pt>
                <c:pt idx="4">
                  <c:v>153.36402008685945</c:v>
                </c:pt>
                <c:pt idx="5">
                  <c:v>142.38997648280019</c:v>
                </c:pt>
                <c:pt idx="6">
                  <c:v>132.78583168044241</c:v>
                </c:pt>
                <c:pt idx="7">
                  <c:v>124.31617513562077</c:v>
                </c:pt>
                <c:pt idx="8">
                  <c:v>116.79594539529832</c:v>
                </c:pt>
                <c:pt idx="9">
                  <c:v>110.07775463248846</c:v>
                </c:pt>
                <c:pt idx="10">
                  <c:v>104.04283943847321</c:v>
                </c:pt>
                <c:pt idx="11">
                  <c:v>98.594487019082521</c:v>
                </c:pt>
                <c:pt idx="12">
                  <c:v>93.653184131684398</c:v>
                </c:pt>
                <c:pt idx="13">
                  <c:v>77.789600891920657</c:v>
                </c:pt>
                <c:pt idx="14">
                  <c:v>66.288643662263297</c:v>
                </c:pt>
                <c:pt idx="15">
                  <c:v>57.596706952388054</c:v>
                </c:pt>
                <c:pt idx="16">
                  <c:v>50.813726156114662</c:v>
                </c:pt>
              </c:numCache>
            </c:numRef>
          </c:yVal>
        </c:ser>
        <c:axId val="146691200"/>
        <c:axId val="146698240"/>
      </c:scatterChart>
      <c:scatterChart>
        <c:scatterStyle val="lineMarker"/>
        <c:ser>
          <c:idx val="5"/>
          <c:order val="0"/>
          <c:tx>
            <c:strRef>
              <c:f>curves!$G$30</c:f>
              <c:strCache>
                <c:ptCount val="1"/>
                <c:pt idx="0">
                  <c:v>efficiency (dB)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curves!$A$31:$A$47</c:f>
              <c:numCache>
                <c:formatCode>General</c:formatCode>
                <c:ptCount val="17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</c:v>
                </c:pt>
                <c:pt idx="9">
                  <c:v>5.25</c:v>
                </c:pt>
                <c:pt idx="10">
                  <c:v>5.5</c:v>
                </c:pt>
                <c:pt idx="11">
                  <c:v>5.75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xVal>
          <c:yVal>
            <c:numRef>
              <c:f>curves!$G$31:$G$47</c:f>
              <c:numCache>
                <c:formatCode>0.0</c:formatCode>
                <c:ptCount val="17"/>
                <c:pt idx="0">
                  <c:v>-5.4699358627539603</c:v>
                </c:pt>
                <c:pt idx="1">
                  <c:v>-4.6345303935052904</c:v>
                </c:pt>
                <c:pt idx="2">
                  <c:v>-3.9293456199451082</c:v>
                </c:pt>
                <c:pt idx="3">
                  <c:v>-3.3358838215133861</c:v>
                </c:pt>
                <c:pt idx="4">
                  <c:v>-2.8375999009619868</c:v>
                </c:pt>
                <c:pt idx="5">
                  <c:v>-2.4198211300818198</c:v>
                </c:pt>
                <c:pt idx="6">
                  <c:v>-2.0697028070325691</c:v>
                </c:pt>
                <c:pt idx="7">
                  <c:v>-1.776155865256188</c:v>
                </c:pt>
                <c:pt idx="8">
                  <c:v>-1.5297297049477698</c:v>
                </c:pt>
                <c:pt idx="9">
                  <c:v>-1.3224580277984961</c:v>
                </c:pt>
                <c:pt idx="10">
                  <c:v>-1.1476841247349787</c:v>
                </c:pt>
                <c:pt idx="11">
                  <c:v>-0.99988180871577559</c:v>
                </c:pt>
                <c:pt idx="12">
                  <c:v>-0.87448417394393396</c:v>
                </c:pt>
                <c:pt idx="13">
                  <c:v>-0.53097793868288323</c:v>
                </c:pt>
                <c:pt idx="14">
                  <c:v>-0.34025174874235176</c:v>
                </c:pt>
                <c:pt idx="15">
                  <c:v>-0.22825866452423133</c:v>
                </c:pt>
                <c:pt idx="16">
                  <c:v>-0.15913220088930199</c:v>
                </c:pt>
              </c:numCache>
            </c:numRef>
          </c:yVal>
        </c:ser>
        <c:axId val="146702336"/>
        <c:axId val="146700160"/>
      </c:scatterChart>
      <c:valAx>
        <c:axId val="146691200"/>
        <c:scaling>
          <c:orientation val="minMax"/>
          <c:min val="2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resonator</a:t>
                </a:r>
                <a:r>
                  <a:rPr lang="en-US" baseline="0"/>
                  <a:t> loop diameter (ft)</a:t>
                </a:r>
                <a:endParaRPr lang="en-US"/>
              </a:p>
            </c:rich>
          </c:tx>
        </c:title>
        <c:numFmt formatCode="General" sourceLinked="1"/>
        <c:tickLblPos val="nextTo"/>
        <c:crossAx val="146698240"/>
        <c:crosses val="autoZero"/>
        <c:crossBetween val="midCat"/>
        <c:majorUnit val="1"/>
      </c:valAx>
      <c:valAx>
        <c:axId val="146698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olidFill>
                      <a:srgbClr val="0070C0"/>
                    </a:solidFill>
                  </a:rPr>
                  <a:t>tuning</a:t>
                </a:r>
                <a:r>
                  <a:rPr lang="en-US" baseline="0">
                    <a:solidFill>
                      <a:srgbClr val="0070C0"/>
                    </a:solidFill>
                  </a:rPr>
                  <a:t> cap value (pF)</a:t>
                </a:r>
                <a:endParaRPr lang="en-US">
                  <a:solidFill>
                    <a:srgbClr val="0070C0"/>
                  </a:solidFill>
                </a:endParaRPr>
              </a:p>
            </c:rich>
          </c:tx>
        </c:title>
        <c:numFmt formatCode="0" sourceLinked="1"/>
        <c:tickLblPos val="nextTo"/>
        <c:crossAx val="146691200"/>
        <c:crosses val="autoZero"/>
        <c:crossBetween val="midCat"/>
      </c:valAx>
      <c:valAx>
        <c:axId val="146700160"/>
        <c:scaling>
          <c:orientation val="minMax"/>
        </c:scaling>
        <c:axPos val="r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olidFill>
                      <a:srgbClr val="00B050"/>
                    </a:solidFill>
                  </a:rPr>
                  <a:t>efficiency</a:t>
                </a:r>
                <a:r>
                  <a:rPr lang="en-US" baseline="0">
                    <a:solidFill>
                      <a:srgbClr val="00B050"/>
                    </a:solidFill>
                  </a:rPr>
                  <a:t> (dB)</a:t>
                </a:r>
                <a:endParaRPr lang="en-US">
                  <a:solidFill>
                    <a:srgbClr val="00B050"/>
                  </a:solidFill>
                </a:endParaRPr>
              </a:p>
            </c:rich>
          </c:tx>
        </c:title>
        <c:numFmt formatCode="0.0" sourceLinked="1"/>
        <c:tickLblPos val="nextTo"/>
        <c:crossAx val="146702336"/>
        <c:crosses val="max"/>
        <c:crossBetween val="midCat"/>
      </c:valAx>
      <c:valAx>
        <c:axId val="146702336"/>
        <c:scaling>
          <c:orientation val="minMax"/>
        </c:scaling>
        <c:delete val="1"/>
        <c:axPos val="b"/>
        <c:numFmt formatCode="General" sourceLinked="1"/>
        <c:tickLblPos val="none"/>
        <c:crossAx val="14670016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1</xdr:row>
      <xdr:rowOff>133350</xdr:rowOff>
    </xdr:from>
    <xdr:to>
      <xdr:col>18</xdr:col>
      <xdr:colOff>76200</xdr:colOff>
      <xdr:row>38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53700" y="323850"/>
          <a:ext cx="3228975" cy="73056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10</xdr:col>
      <xdr:colOff>695325</xdr:colOff>
      <xdr:row>45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0" y="7620000"/>
          <a:ext cx="2771775" cy="87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57150</xdr:rowOff>
    </xdr:from>
    <xdr:to>
      <xdr:col>7</xdr:col>
      <xdr:colOff>304800</xdr:colOff>
      <xdr:row>20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B4" sqref="B4"/>
    </sheetView>
  </sheetViews>
  <sheetFormatPr defaultRowHeight="15"/>
  <cols>
    <col min="1" max="1" width="29.42578125" customWidth="1"/>
    <col min="2" max="2" width="12" bestFit="1" customWidth="1"/>
    <col min="3" max="3" width="21.42578125" customWidth="1"/>
    <col min="9" max="9" width="12.85546875" customWidth="1"/>
    <col min="11" max="11" width="11" customWidth="1"/>
  </cols>
  <sheetData>
    <row r="1" spans="1:14">
      <c r="N1" t="s">
        <v>15</v>
      </c>
    </row>
    <row r="2" spans="1:14">
      <c r="A2" s="2" t="s">
        <v>6</v>
      </c>
      <c r="C2" t="s">
        <v>31</v>
      </c>
      <c r="I2" t="s">
        <v>36</v>
      </c>
    </row>
    <row r="3" spans="1:14">
      <c r="A3" t="s">
        <v>0</v>
      </c>
      <c r="B3">
        <v>10.3</v>
      </c>
      <c r="C3">
        <f>B3/PI()</f>
        <v>3.2785918276930444</v>
      </c>
      <c r="I3" t="s">
        <v>37</v>
      </c>
    </row>
    <row r="4" spans="1:14">
      <c r="A4" t="s">
        <v>1</v>
      </c>
      <c r="B4">
        <v>7</v>
      </c>
    </row>
    <row r="5" spans="1:14">
      <c r="A5" t="s">
        <v>2</v>
      </c>
      <c r="B5">
        <v>0.625</v>
      </c>
      <c r="I5" t="s">
        <v>21</v>
      </c>
      <c r="J5" t="s">
        <v>23</v>
      </c>
    </row>
    <row r="6" spans="1:14">
      <c r="A6" t="s">
        <v>3</v>
      </c>
      <c r="B6">
        <v>20</v>
      </c>
      <c r="E6" t="s">
        <v>18</v>
      </c>
      <c r="I6" t="s">
        <v>22</v>
      </c>
      <c r="J6" t="s">
        <v>24</v>
      </c>
    </row>
    <row r="7" spans="1:14">
      <c r="E7" t="s">
        <v>19</v>
      </c>
      <c r="F7" t="s">
        <v>20</v>
      </c>
      <c r="I7" t="s">
        <v>25</v>
      </c>
      <c r="J7" t="s">
        <v>27</v>
      </c>
    </row>
    <row r="8" spans="1:14">
      <c r="A8" s="1" t="s">
        <v>5</v>
      </c>
      <c r="E8">
        <v>12</v>
      </c>
      <c r="F8">
        <v>35</v>
      </c>
      <c r="I8" t="s">
        <v>26</v>
      </c>
      <c r="J8" t="s">
        <v>28</v>
      </c>
    </row>
    <row r="9" spans="1:14">
      <c r="A9" t="s">
        <v>4</v>
      </c>
      <c r="B9" s="3">
        <f>PI()*(S/(2*PI()))^2</f>
        <v>8.4423739563095896</v>
      </c>
      <c r="E9">
        <v>12.2</v>
      </c>
      <c r="F9">
        <v>34</v>
      </c>
    </row>
    <row r="10" spans="1:14">
      <c r="A10" t="s">
        <v>8</v>
      </c>
      <c r="B10" s="16">
        <f>3.38*10^-8*(F^2*A)^2</f>
        <v>5.784129811151323E-3</v>
      </c>
      <c r="C10" s="16">
        <f>3.38*10^-8*(F^2*A)^2</f>
        <v>5.784129811151323E-3</v>
      </c>
      <c r="E10">
        <v>12.4</v>
      </c>
      <c r="F10">
        <v>32.799999999999997</v>
      </c>
      <c r="I10" t="s">
        <v>29</v>
      </c>
      <c r="J10">
        <f>(10.18-4.39)/(158-25)</f>
        <v>4.3533834586466168E-2</v>
      </c>
    </row>
    <row r="11" spans="1:14">
      <c r="A11" t="s">
        <v>7</v>
      </c>
      <c r="B11" s="16">
        <f>(9.96*10^-4)*((F*S/D)^0.5)</f>
        <v>1.0697614956615333E-2</v>
      </c>
      <c r="C11" s="5" t="s">
        <v>14</v>
      </c>
      <c r="E11">
        <v>12.6</v>
      </c>
      <c r="F11">
        <v>31.8</v>
      </c>
      <c r="I11" t="s">
        <v>30</v>
      </c>
      <c r="J11">
        <f>1/J10</f>
        <v>22.970639032815196</v>
      </c>
    </row>
    <row r="12" spans="1:14">
      <c r="A12" t="s">
        <v>9</v>
      </c>
      <c r="B12" s="3">
        <f>(Rr/(Rr+Rl))</f>
        <v>0.35094159584750667</v>
      </c>
      <c r="C12" s="22">
        <f>10*LOG10(B12)</f>
        <v>-4.5476515336789616</v>
      </c>
      <c r="E12">
        <v>12.8</v>
      </c>
      <c r="F12">
        <v>30.8</v>
      </c>
    </row>
    <row r="13" spans="1:14">
      <c r="A13" t="s">
        <v>16</v>
      </c>
      <c r="B13">
        <f>(1.9*10^-8)*S*(7.353*LOG10((96*S)/((PI()*D)))-6.386)</f>
        <v>2.638502491723337E-6</v>
      </c>
      <c r="C13">
        <f>(1.9*10^-8)*S*(7.353*LOG10((96*S)/((PI()*D)))-6.386)</f>
        <v>2.638502491723337E-6</v>
      </c>
      <c r="E13">
        <v>13</v>
      </c>
      <c r="F13">
        <v>29.8</v>
      </c>
    </row>
    <row r="14" spans="1:14" ht="15.75" thickBot="1">
      <c r="A14" t="s">
        <v>47</v>
      </c>
      <c r="B14" s="6">
        <f>2*PI()*(F*10^6)*L</f>
        <v>116.04740062266958</v>
      </c>
      <c r="E14">
        <v>13.2</v>
      </c>
      <c r="F14">
        <v>29</v>
      </c>
    </row>
    <row r="15" spans="1:14" ht="30.75" thickBot="1">
      <c r="A15" t="s">
        <v>10</v>
      </c>
      <c r="B15" s="4">
        <f>1/(2*PI()*F*10^6*Xl)</f>
        <v>1.9592356502346186E-10</v>
      </c>
      <c r="E15">
        <v>13.4</v>
      </c>
      <c r="F15">
        <v>28.1</v>
      </c>
      <c r="I15" s="7" t="s">
        <v>32</v>
      </c>
      <c r="J15" s="8" t="s">
        <v>34</v>
      </c>
      <c r="K15" s="7" t="s">
        <v>33</v>
      </c>
      <c r="L15" s="7" t="s">
        <v>35</v>
      </c>
    </row>
    <row r="16" spans="1:14">
      <c r="A16" t="s">
        <v>17</v>
      </c>
      <c r="B16">
        <f>Xl/(2*Rr+2*Rl)</f>
        <v>3520.4828814490397</v>
      </c>
      <c r="E16">
        <v>13.6</v>
      </c>
      <c r="F16">
        <v>27.3</v>
      </c>
      <c r="I16" s="9">
        <v>1</v>
      </c>
      <c r="J16" s="10">
        <v>1</v>
      </c>
      <c r="K16" s="10">
        <v>0.63</v>
      </c>
      <c r="L16" s="10">
        <f t="shared" ref="L16:L23" si="0">10*LOG10(K16)</f>
        <v>-2.0065945054641827</v>
      </c>
    </row>
    <row r="17" spans="1:12">
      <c r="A17" t="s">
        <v>11</v>
      </c>
      <c r="B17">
        <f>F*10^6/Q</f>
        <v>1988.3635954846006</v>
      </c>
      <c r="E17">
        <f>E16+0.2</f>
        <v>13.799999999999999</v>
      </c>
      <c r="F17">
        <v>26.5</v>
      </c>
      <c r="I17" s="11">
        <v>2</v>
      </c>
      <c r="J17" s="12">
        <f t="shared" ref="J17:J23" si="1">K16</f>
        <v>0.63</v>
      </c>
      <c r="K17" s="12">
        <f t="shared" ref="K17:K23" si="2">J17-0.37*J17</f>
        <v>0.39690000000000003</v>
      </c>
      <c r="L17" s="12">
        <f t="shared" si="0"/>
        <v>-4.0131890109283654</v>
      </c>
    </row>
    <row r="18" spans="1:12">
      <c r="A18" t="s">
        <v>12</v>
      </c>
      <c r="B18">
        <f>0.82* S</f>
        <v>8.4459999999999997</v>
      </c>
      <c r="E18">
        <f>E17+0.2</f>
        <v>13.999999999999998</v>
      </c>
      <c r="F18">
        <v>25.7</v>
      </c>
      <c r="I18" s="11">
        <v>3</v>
      </c>
      <c r="J18" s="12">
        <f t="shared" si="1"/>
        <v>0.39690000000000003</v>
      </c>
      <c r="K18" s="12">
        <f t="shared" si="2"/>
        <v>0.25004700000000002</v>
      </c>
      <c r="L18" s="12">
        <f t="shared" si="0"/>
        <v>-6.0197835163925486</v>
      </c>
    </row>
    <row r="19" spans="1:12">
      <c r="A19" t="s">
        <v>13</v>
      </c>
      <c r="B19" s="6">
        <f>SQRT(P*Xl*Q)</f>
        <v>2858.471225423712</v>
      </c>
      <c r="E19">
        <f>E18+0.2</f>
        <v>14.199999999999998</v>
      </c>
      <c r="F19">
        <v>25</v>
      </c>
      <c r="I19" s="11">
        <v>4</v>
      </c>
      <c r="J19" s="12">
        <f t="shared" si="1"/>
        <v>0.25004700000000002</v>
      </c>
      <c r="K19" s="12">
        <f t="shared" si="2"/>
        <v>0.15752961000000001</v>
      </c>
      <c r="L19" s="12">
        <f t="shared" si="0"/>
        <v>-8.0263780218567309</v>
      </c>
    </row>
    <row r="20" spans="1:12">
      <c r="A20" t="s">
        <v>38</v>
      </c>
      <c r="B20" s="21">
        <f>B15*B19*F*10^6*2*PI()</f>
        <v>24.631928074960395</v>
      </c>
      <c r="C20">
        <f>SQRT(2)</f>
        <v>1.4142135623730951</v>
      </c>
      <c r="I20" s="11">
        <v>5</v>
      </c>
      <c r="J20" s="12">
        <f t="shared" si="1"/>
        <v>0.15752961000000001</v>
      </c>
      <c r="K20" s="12">
        <f t="shared" si="2"/>
        <v>9.9243654300000012E-2</v>
      </c>
      <c r="L20" s="12">
        <f t="shared" si="0"/>
        <v>-10.032972527320913</v>
      </c>
    </row>
    <row r="21" spans="1:12">
      <c r="I21" s="11">
        <v>6</v>
      </c>
      <c r="J21" s="12">
        <f t="shared" si="1"/>
        <v>9.9243654300000012E-2</v>
      </c>
      <c r="K21" s="12">
        <f t="shared" si="2"/>
        <v>6.2523502209000006E-2</v>
      </c>
      <c r="L21" s="12">
        <f t="shared" si="0"/>
        <v>-12.039567032785097</v>
      </c>
    </row>
    <row r="22" spans="1:12">
      <c r="I22" s="11">
        <v>7</v>
      </c>
      <c r="J22" s="12">
        <f t="shared" si="1"/>
        <v>6.2523502209000006E-2</v>
      </c>
      <c r="K22" s="12">
        <f t="shared" si="2"/>
        <v>3.9389806391670001E-2</v>
      </c>
      <c r="L22" s="12">
        <f t="shared" si="0"/>
        <v>-14.046161538249279</v>
      </c>
    </row>
    <row r="23" spans="1:12">
      <c r="I23" s="11">
        <v>8</v>
      </c>
      <c r="J23" s="12">
        <f t="shared" si="1"/>
        <v>3.9389806391670001E-2</v>
      </c>
      <c r="K23" s="12">
        <f t="shared" si="2"/>
        <v>2.4815578026752102E-2</v>
      </c>
      <c r="L23" s="12">
        <f t="shared" si="0"/>
        <v>-16.052756043713462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4" workbookViewId="0">
      <selection activeCell="A5" sqref="A5:H25"/>
    </sheetView>
  </sheetViews>
  <sheetFormatPr defaultRowHeight="15"/>
  <cols>
    <col min="1" max="1" width="28.5703125" bestFit="1" customWidth="1"/>
    <col min="2" max="2" width="12" bestFit="1" customWidth="1"/>
    <col min="3" max="3" width="18.5703125" bestFit="1" customWidth="1"/>
    <col min="5" max="5" width="7.7109375" bestFit="1" customWidth="1"/>
    <col min="6" max="6" width="6.5703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8:M47"/>
  <sheetViews>
    <sheetView workbookViewId="0">
      <selection activeCell="B1" sqref="B1"/>
    </sheetView>
  </sheetViews>
  <sheetFormatPr defaultRowHeight="15"/>
  <cols>
    <col min="1" max="1" width="21.28515625" customWidth="1"/>
    <col min="2" max="2" width="15.140625" customWidth="1"/>
    <col min="3" max="3" width="11.42578125" customWidth="1"/>
    <col min="4" max="4" width="11.7109375" customWidth="1"/>
    <col min="5" max="5" width="11" customWidth="1"/>
    <col min="6" max="6" width="13.28515625" bestFit="1" customWidth="1"/>
    <col min="7" max="7" width="11.5703125" customWidth="1"/>
    <col min="8" max="8" width="12" customWidth="1"/>
    <col min="9" max="9" width="11.7109375" customWidth="1"/>
    <col min="10" max="10" width="13.28515625" customWidth="1"/>
    <col min="11" max="11" width="11.28515625" customWidth="1"/>
    <col min="12" max="12" width="11" customWidth="1"/>
    <col min="13" max="13" width="14.7109375" customWidth="1"/>
  </cols>
  <sheetData>
    <row r="8" spans="2:7">
      <c r="B8" s="14"/>
    </row>
    <row r="9" spans="2:7">
      <c r="B9" s="18"/>
      <c r="C9" s="18"/>
      <c r="D9" s="19"/>
      <c r="E9" s="19"/>
      <c r="F9" s="20"/>
      <c r="G9" s="20"/>
    </row>
    <row r="10" spans="2:7">
      <c r="B10" s="13"/>
      <c r="C10" s="13"/>
      <c r="D10" s="13"/>
      <c r="E10" s="13"/>
      <c r="F10" s="13"/>
    </row>
    <row r="24" spans="1:13">
      <c r="A24" t="s">
        <v>49</v>
      </c>
      <c r="B24">
        <v>20</v>
      </c>
    </row>
    <row r="25" spans="1:13">
      <c r="A25" t="s">
        <v>48</v>
      </c>
      <c r="B25">
        <v>7</v>
      </c>
    </row>
    <row r="26" spans="1:13">
      <c r="A26" t="s">
        <v>50</v>
      </c>
      <c r="B26">
        <v>0.625</v>
      </c>
    </row>
    <row r="29" spans="1:13">
      <c r="A29" s="23" t="s">
        <v>51</v>
      </c>
      <c r="B29" s="23"/>
      <c r="C29" s="23"/>
      <c r="D29" s="23"/>
      <c r="E29" s="23"/>
      <c r="F29" s="23"/>
      <c r="G29" s="23"/>
      <c r="H29" s="24"/>
      <c r="I29" s="24"/>
      <c r="J29" s="24"/>
      <c r="K29" s="24"/>
      <c r="L29" s="24"/>
      <c r="M29" s="24"/>
    </row>
    <row r="30" spans="1:13" ht="45">
      <c r="A30" s="15" t="s">
        <v>43</v>
      </c>
      <c r="B30" s="15" t="s">
        <v>44</v>
      </c>
      <c r="C30" s="15" t="s">
        <v>40</v>
      </c>
      <c r="D30" s="15" t="s">
        <v>41</v>
      </c>
      <c r="E30" s="15" t="s">
        <v>42</v>
      </c>
      <c r="F30" s="15" t="s">
        <v>39</v>
      </c>
      <c r="G30" s="15" t="s">
        <v>14</v>
      </c>
      <c r="H30" s="15" t="s">
        <v>45</v>
      </c>
      <c r="I30" s="15" t="s">
        <v>46</v>
      </c>
      <c r="J30" s="15" t="s">
        <v>52</v>
      </c>
      <c r="K30" s="15" t="s">
        <v>17</v>
      </c>
      <c r="L30" s="15" t="s">
        <v>11</v>
      </c>
      <c r="M30" s="15" t="s">
        <v>13</v>
      </c>
    </row>
    <row r="31" spans="1:13">
      <c r="A31">
        <v>3</v>
      </c>
      <c r="B31">
        <f>PI()*A31</f>
        <v>9.4247779607693793</v>
      </c>
      <c r="C31">
        <f>PI()*(A31/2)^2</f>
        <v>7.0685834705770345</v>
      </c>
      <c r="D31" s="16">
        <f t="shared" ref="D31:D47" si="0">3.38*10^-8*(Freq2^2*C31)^2</f>
        <v>4.0548392520784477E-3</v>
      </c>
      <c r="E31" s="16">
        <f t="shared" ref="E31:E47" si="1">(9.96*10^-4)*(7*B31/Pipe2)^0.5</f>
        <v>1.0233022133052518E-2</v>
      </c>
      <c r="F31" s="3">
        <f>(D31/(D31+E31))</f>
        <v>0.28379609395554617</v>
      </c>
      <c r="G31" s="17">
        <f>10*LOG10(F31)</f>
        <v>-5.4699358627539603</v>
      </c>
      <c r="H31">
        <f t="shared" ref="H31:H47" si="2">(1.9*10^-8)*B31*(7.353*LOG10((96*B31)/((PI()*Pipe2)))-6.386)</f>
        <v>2.3635207160310358E-6</v>
      </c>
      <c r="I31" s="6">
        <f t="shared" ref="I31:I47" si="3">2*PI()*(Freq2*10^6)*H31</f>
        <v>103.95307045326545</v>
      </c>
      <c r="J31" s="6">
        <f t="shared" ref="J31:J47" si="4">1/(2*PI()*Freq2*10^6*I31)*10^12</f>
        <v>218.71812292375748</v>
      </c>
      <c r="K31">
        <f>I31/(2*D31+2*E31)</f>
        <v>3637.8107139759527</v>
      </c>
      <c r="L31">
        <f>7*10^6/curves!K31</f>
        <v>1924.2342580132038</v>
      </c>
      <c r="M31" s="6">
        <f>SQRT(20*I31*K31)</f>
        <v>2750.1330638555878</v>
      </c>
    </row>
    <row r="32" spans="1:13">
      <c r="A32">
        <f>A31+0.25</f>
        <v>3.25</v>
      </c>
      <c r="B32">
        <f t="shared" ref="B32:B47" si="5">PI()*A32</f>
        <v>10.210176124166829</v>
      </c>
      <c r="C32">
        <f t="shared" ref="C32:C47" si="6">PI()*(A32/2)^2</f>
        <v>8.2957681008855477</v>
      </c>
      <c r="D32" s="16">
        <f t="shared" si="0"/>
        <v>5.5849857194546961E-3</v>
      </c>
      <c r="E32" s="16">
        <f t="shared" si="1"/>
        <v>1.0650867123079916E-2</v>
      </c>
      <c r="F32" s="3">
        <f t="shared" ref="F32:F47" si="7">(D32/(D32+E32))</f>
        <v>0.34399090541293748</v>
      </c>
      <c r="G32" s="17">
        <f t="shared" ref="G32:G47" si="8">10*LOG10(F32)</f>
        <v>-4.6345303935052904</v>
      </c>
      <c r="H32">
        <f t="shared" si="2"/>
        <v>2.6100665938521719E-6</v>
      </c>
      <c r="I32" s="6">
        <f t="shared" si="3"/>
        <v>114.79672451276565</v>
      </c>
      <c r="J32" s="6">
        <f t="shared" si="4"/>
        <v>198.05809388900283</v>
      </c>
      <c r="K32">
        <f t="shared" ref="K32:K47" si="9">I32/(2*D32+2*E32)</f>
        <v>3535.2847068193951</v>
      </c>
      <c r="L32">
        <f>7*10^6/curves!K32</f>
        <v>1980.0385486626678</v>
      </c>
      <c r="M32" s="6">
        <f t="shared" ref="M32:M47" si="10">SQRT(20*I32*K32)</f>
        <v>2848.9966815106668</v>
      </c>
    </row>
    <row r="33" spans="1:13">
      <c r="A33">
        <f t="shared" ref="A33:A43" si="11">A32+0.25</f>
        <v>3.5</v>
      </c>
      <c r="B33">
        <f t="shared" si="5"/>
        <v>10.995574287564276</v>
      </c>
      <c r="C33">
        <f t="shared" si="6"/>
        <v>9.6211275016187408</v>
      </c>
      <c r="D33" s="16">
        <f t="shared" si="0"/>
        <v>7.5120903119138514E-3</v>
      </c>
      <c r="E33" s="16">
        <f t="shared" si="1"/>
        <v>1.1052927167563644E-2</v>
      </c>
      <c r="F33" s="3">
        <f t="shared" si="7"/>
        <v>0.40463685640037844</v>
      </c>
      <c r="G33" s="17">
        <f t="shared" si="8"/>
        <v>-3.9293456199451082</v>
      </c>
      <c r="H33">
        <f t="shared" si="2"/>
        <v>2.8602817284963513E-6</v>
      </c>
      <c r="I33" s="6">
        <f t="shared" si="3"/>
        <v>125.80176091617753</v>
      </c>
      <c r="J33" s="6">
        <f t="shared" si="4"/>
        <v>180.73213185663394</v>
      </c>
      <c r="K33">
        <f t="shared" si="9"/>
        <v>3388.1401150104966</v>
      </c>
      <c r="L33">
        <f>7*10^6/curves!K33</f>
        <v>2066.0302591937862</v>
      </c>
      <c r="M33" s="6">
        <f t="shared" si="10"/>
        <v>2919.7054395916743</v>
      </c>
    </row>
    <row r="34" spans="1:13">
      <c r="A34">
        <f t="shared" si="11"/>
        <v>3.75</v>
      </c>
      <c r="B34">
        <f t="shared" si="5"/>
        <v>11.780972450961723</v>
      </c>
      <c r="C34">
        <f t="shared" si="6"/>
        <v>11.044661672776616</v>
      </c>
      <c r="D34" s="16">
        <f t="shared" si="0"/>
        <v>9.8995098927696472E-3</v>
      </c>
      <c r="E34" s="16">
        <f t="shared" si="1"/>
        <v>1.1440866552382663E-2</v>
      </c>
      <c r="F34" s="3">
        <f t="shared" si="7"/>
        <v>0.46388637605399052</v>
      </c>
      <c r="G34" s="17">
        <f t="shared" si="8"/>
        <v>-3.3358838215133861</v>
      </c>
      <c r="H34">
        <f t="shared" si="2"/>
        <v>3.1139035657259425E-6</v>
      </c>
      <c r="I34" s="6">
        <f t="shared" si="3"/>
        <v>136.95663192500356</v>
      </c>
      <c r="J34" s="6">
        <f t="shared" si="4"/>
        <v>166.01182521887389</v>
      </c>
      <c r="K34">
        <f t="shared" si="9"/>
        <v>3208.8616683262558</v>
      </c>
      <c r="L34">
        <f>7*10^6/curves!K34</f>
        <v>2181.4589482292031</v>
      </c>
      <c r="M34" s="6">
        <f t="shared" si="10"/>
        <v>2964.7087088184967</v>
      </c>
    </row>
    <row r="35" spans="1:13">
      <c r="A35">
        <f t="shared" si="11"/>
        <v>4</v>
      </c>
      <c r="B35">
        <f t="shared" si="5"/>
        <v>12.566370614359172</v>
      </c>
      <c r="C35">
        <f t="shared" si="6"/>
        <v>12.566370614359172</v>
      </c>
      <c r="D35" s="16">
        <f t="shared" si="0"/>
        <v>1.2815294426322007E-2</v>
      </c>
      <c r="E35" s="16">
        <f t="shared" si="1"/>
        <v>1.181607616628254E-2</v>
      </c>
      <c r="F35" s="3">
        <f t="shared" si="7"/>
        <v>0.5202834482206905</v>
      </c>
      <c r="G35" s="17">
        <f t="shared" si="8"/>
        <v>-2.8375999009619868</v>
      </c>
      <c r="H35">
        <f t="shared" si="2"/>
        <v>3.3707046425161902E-6</v>
      </c>
      <c r="I35" s="6">
        <f t="shared" si="3"/>
        <v>148.25133319289822</v>
      </c>
      <c r="J35" s="6">
        <f t="shared" si="4"/>
        <v>153.36402008685945</v>
      </c>
      <c r="K35">
        <f t="shared" si="9"/>
        <v>3009.4008093364073</v>
      </c>
      <c r="L35">
        <f>7*10^6/curves!K35</f>
        <v>2326.0444332583088</v>
      </c>
      <c r="M35" s="6">
        <f t="shared" si="10"/>
        <v>2987.1313399176447</v>
      </c>
    </row>
    <row r="36" spans="1:13">
      <c r="A36">
        <f t="shared" si="11"/>
        <v>4.25</v>
      </c>
      <c r="B36">
        <f t="shared" si="5"/>
        <v>13.351768777756622</v>
      </c>
      <c r="C36">
        <f t="shared" si="6"/>
        <v>14.186254326366409</v>
      </c>
      <c r="D36" s="16">
        <f t="shared" si="0"/>
        <v>1.6332186977857061E-2</v>
      </c>
      <c r="E36" s="16">
        <f t="shared" si="1"/>
        <v>1.2179732528481577E-2</v>
      </c>
      <c r="F36" s="3">
        <f t="shared" si="7"/>
        <v>0.57281962283269516</v>
      </c>
      <c r="G36" s="17">
        <f t="shared" si="8"/>
        <v>-2.4198211300818198</v>
      </c>
      <c r="H36">
        <f t="shared" si="2"/>
        <v>3.6304859883460056E-6</v>
      </c>
      <c r="I36" s="6">
        <f t="shared" si="3"/>
        <v>159.67711353927885</v>
      </c>
      <c r="J36" s="6">
        <f t="shared" si="4"/>
        <v>142.38997648280019</v>
      </c>
      <c r="K36">
        <f t="shared" si="9"/>
        <v>2800.1817538763071</v>
      </c>
      <c r="L36">
        <f>7*10^6/curves!K36</f>
        <v>2499.8377302865647</v>
      </c>
      <c r="M36" s="6">
        <f t="shared" si="10"/>
        <v>2990.4011096985769</v>
      </c>
    </row>
    <row r="37" spans="1:13">
      <c r="A37">
        <f t="shared" si="11"/>
        <v>4.5</v>
      </c>
      <c r="B37">
        <f t="shared" si="5"/>
        <v>14.137166941154069</v>
      </c>
      <c r="C37">
        <f t="shared" si="6"/>
        <v>15.904312808798327</v>
      </c>
      <c r="D37" s="16">
        <f t="shared" si="0"/>
        <v>2.0527623713647143E-2</v>
      </c>
      <c r="E37" s="16">
        <f t="shared" si="1"/>
        <v>1.2532841376292691E-2</v>
      </c>
      <c r="F37" s="3">
        <f t="shared" si="7"/>
        <v>0.62091152250285853</v>
      </c>
      <c r="G37" s="17">
        <f t="shared" si="8"/>
        <v>-2.0697028070325691</v>
      </c>
      <c r="H37">
        <f t="shared" si="2"/>
        <v>3.8930720842701357E-6</v>
      </c>
      <c r="I37" s="6">
        <f t="shared" si="3"/>
        <v>171.22625323773988</v>
      </c>
      <c r="J37" s="6">
        <f t="shared" si="4"/>
        <v>132.78583168044241</v>
      </c>
      <c r="K37">
        <f t="shared" si="9"/>
        <v>2589.5923238212908</v>
      </c>
      <c r="L37">
        <f>7*10^6/curves!K37</f>
        <v>2703.1281857024355</v>
      </c>
      <c r="M37" s="6">
        <f t="shared" si="10"/>
        <v>2977.9395259848097</v>
      </c>
    </row>
    <row r="38" spans="1:13">
      <c r="A38">
        <f t="shared" si="11"/>
        <v>4.75</v>
      </c>
      <c r="B38">
        <f t="shared" si="5"/>
        <v>14.922565104551516</v>
      </c>
      <c r="C38">
        <f t="shared" si="6"/>
        <v>17.720546061654925</v>
      </c>
      <c r="D38" s="16">
        <f t="shared" si="0"/>
        <v>2.5483733900950777E-2</v>
      </c>
      <c r="E38" s="16">
        <f t="shared" si="1"/>
        <v>1.2876270479501272E-2</v>
      </c>
      <c r="F38" s="3">
        <f t="shared" si="7"/>
        <v>0.66433083917834701</v>
      </c>
      <c r="G38" s="17">
        <f t="shared" si="8"/>
        <v>-1.776155865256188</v>
      </c>
      <c r="H38">
        <f t="shared" si="2"/>
        <v>4.1583069454780973E-6</v>
      </c>
      <c r="I38" s="6">
        <f t="shared" si="3"/>
        <v>182.89189171799563</v>
      </c>
      <c r="J38" s="6">
        <f t="shared" si="4"/>
        <v>124.31617513562077</v>
      </c>
      <c r="K38">
        <f t="shared" si="9"/>
        <v>2383.8877845800753</v>
      </c>
      <c r="L38">
        <f>7*10^6/curves!K38</f>
        <v>2936.3798268017295</v>
      </c>
      <c r="M38" s="6">
        <f t="shared" si="10"/>
        <v>2952.9434351686173</v>
      </c>
    </row>
    <row r="39" spans="1:13">
      <c r="A39">
        <f t="shared" si="11"/>
        <v>5</v>
      </c>
      <c r="B39">
        <f t="shared" si="5"/>
        <v>15.707963267948966</v>
      </c>
      <c r="C39">
        <f t="shared" si="6"/>
        <v>19.634954084936208</v>
      </c>
      <c r="D39" s="16">
        <f t="shared" si="0"/>
        <v>3.1287339908012718E-2</v>
      </c>
      <c r="E39" s="16">
        <f t="shared" si="1"/>
        <v>1.3210774767561433E-2</v>
      </c>
      <c r="F39" s="3">
        <f t="shared" si="7"/>
        <v>0.70311607887484107</v>
      </c>
      <c r="G39" s="17">
        <f t="shared" si="8"/>
        <v>-1.5297297049477698</v>
      </c>
      <c r="H39">
        <f t="shared" si="2"/>
        <v>4.4260510307281031E-6</v>
      </c>
      <c r="I39" s="6">
        <f t="shared" si="3"/>
        <v>194.66789163568515</v>
      </c>
      <c r="J39" s="6">
        <f t="shared" si="4"/>
        <v>116.79594539529832</v>
      </c>
      <c r="K39">
        <f t="shared" si="9"/>
        <v>2187.3723533566022</v>
      </c>
      <c r="L39">
        <f>7*10^6/curves!K39</f>
        <v>3200.1867397008314</v>
      </c>
      <c r="M39" s="6">
        <f t="shared" si="10"/>
        <v>2918.2568915368524</v>
      </c>
    </row>
    <row r="40" spans="1:13">
      <c r="A40">
        <f t="shared" si="11"/>
        <v>5.25</v>
      </c>
      <c r="B40">
        <f t="shared" si="5"/>
        <v>16.493361431346415</v>
      </c>
      <c r="C40">
        <f t="shared" si="6"/>
        <v>21.647536878642168</v>
      </c>
      <c r="D40" s="16">
        <f t="shared" si="0"/>
        <v>3.8029957204063887E-2</v>
      </c>
      <c r="E40" s="16">
        <f t="shared" si="1"/>
        <v>1.3537015862338337E-2</v>
      </c>
      <c r="F40" s="3">
        <f t="shared" si="7"/>
        <v>0.73748670791851845</v>
      </c>
      <c r="G40" s="17">
        <f t="shared" si="8"/>
        <v>-1.3224580277984961</v>
      </c>
      <c r="H40">
        <f t="shared" si="2"/>
        <v>4.6961787713387075E-6</v>
      </c>
      <c r="I40" s="6">
        <f t="shared" si="3"/>
        <v>206.54873019174835</v>
      </c>
      <c r="J40" s="6">
        <f t="shared" si="4"/>
        <v>110.07775463248846</v>
      </c>
      <c r="K40">
        <f t="shared" si="9"/>
        <v>2002.7230406347278</v>
      </c>
      <c r="L40">
        <f>7*10^6/curves!K40</f>
        <v>3495.2411581490933</v>
      </c>
      <c r="M40" s="6">
        <f t="shared" si="10"/>
        <v>2876.3167453146052</v>
      </c>
    </row>
    <row r="41" spans="1:13">
      <c r="A41">
        <f t="shared" si="11"/>
        <v>5.5</v>
      </c>
      <c r="B41">
        <f t="shared" si="5"/>
        <v>17.27875959474386</v>
      </c>
      <c r="C41">
        <f t="shared" si="6"/>
        <v>23.758294442772812</v>
      </c>
      <c r="D41" s="16">
        <f t="shared" si="0"/>
        <v>4.5807794359321412E-2</v>
      </c>
      <c r="E41" s="16">
        <f t="shared" si="1"/>
        <v>1.3855577467401408E-2</v>
      </c>
      <c r="F41" s="3">
        <f t="shared" si="7"/>
        <v>0.76777079398661152</v>
      </c>
      <c r="G41" s="17">
        <f t="shared" si="8"/>
        <v>-1.1476841247349787</v>
      </c>
      <c r="H41">
        <f t="shared" si="2"/>
        <v>4.9685765718401406E-6</v>
      </c>
      <c r="I41" s="6">
        <f t="shared" si="3"/>
        <v>218.52941119647883</v>
      </c>
      <c r="J41" s="6">
        <f t="shared" si="4"/>
        <v>104.04283943847321</v>
      </c>
      <c r="K41">
        <f t="shared" si="9"/>
        <v>1831.3531778856068</v>
      </c>
      <c r="L41">
        <f>7*10^6/curves!K41</f>
        <v>3822.3102373305551</v>
      </c>
      <c r="M41" s="6">
        <f t="shared" si="10"/>
        <v>2829.1501609357606</v>
      </c>
    </row>
    <row r="42" spans="1:13">
      <c r="A42">
        <f t="shared" si="11"/>
        <v>5.75</v>
      </c>
      <c r="B42">
        <f t="shared" si="5"/>
        <v>18.06415775814131</v>
      </c>
      <c r="C42">
        <f t="shared" si="6"/>
        <v>25.967226777328133</v>
      </c>
      <c r="D42" s="16">
        <f t="shared" si="0"/>
        <v>5.4721753044988664E-2</v>
      </c>
      <c r="E42" s="16">
        <f t="shared" si="1"/>
        <v>1.4166977640030479E-2</v>
      </c>
      <c r="F42" s="3">
        <f t="shared" si="7"/>
        <v>0.79434985230303712</v>
      </c>
      <c r="G42" s="17">
        <f t="shared" si="8"/>
        <v>-0.99988180871577559</v>
      </c>
      <c r="H42">
        <f t="shared" si="2"/>
        <v>5.2431411748374025E-6</v>
      </c>
      <c r="I42" s="6">
        <f t="shared" si="3"/>
        <v>230.60539315244677</v>
      </c>
      <c r="J42" s="6">
        <f t="shared" si="4"/>
        <v>98.594487019082521</v>
      </c>
      <c r="K42">
        <f t="shared" si="9"/>
        <v>1673.7526650537868</v>
      </c>
      <c r="L42">
        <f>7*10^6/curves!K42</f>
        <v>4182.2188822474864</v>
      </c>
      <c r="M42" s="6">
        <f t="shared" si="10"/>
        <v>2778.4038272529215</v>
      </c>
    </row>
    <row r="43" spans="1:13">
      <c r="A43">
        <f t="shared" si="11"/>
        <v>6</v>
      </c>
      <c r="B43">
        <f t="shared" si="5"/>
        <v>18.849555921538759</v>
      </c>
      <c r="C43">
        <f t="shared" si="6"/>
        <v>28.274333882308138</v>
      </c>
      <c r="D43" s="16">
        <f t="shared" si="0"/>
        <v>6.4877428033255163E-2</v>
      </c>
      <c r="E43" s="16">
        <f t="shared" si="1"/>
        <v>1.447167868462693E-2</v>
      </c>
      <c r="F43" s="3">
        <f t="shared" si="7"/>
        <v>0.81762014365102365</v>
      </c>
      <c r="G43" s="17">
        <f t="shared" si="8"/>
        <v>-0.87448417394393396</v>
      </c>
      <c r="H43">
        <f t="shared" si="2"/>
        <v>5.5197783107390637E-6</v>
      </c>
      <c r="I43" s="6">
        <f t="shared" si="3"/>
        <v>242.77252986646968</v>
      </c>
      <c r="J43" s="6">
        <f t="shared" si="4"/>
        <v>93.653184131684398</v>
      </c>
      <c r="K43">
        <f t="shared" si="9"/>
        <v>1529.7748135314455</v>
      </c>
      <c r="L43">
        <f>7*10^6/curves!K43</f>
        <v>4575.8368735596332</v>
      </c>
      <c r="M43" s="6">
        <f t="shared" si="10"/>
        <v>2725.3891524222222</v>
      </c>
    </row>
    <row r="44" spans="1:13">
      <c r="A44">
        <v>7</v>
      </c>
      <c r="B44">
        <f t="shared" si="5"/>
        <v>21.991148575128552</v>
      </c>
      <c r="C44">
        <f t="shared" si="6"/>
        <v>38.484510006474963</v>
      </c>
      <c r="D44" s="16">
        <f t="shared" si="0"/>
        <v>0.12019344499062162</v>
      </c>
      <c r="E44" s="16">
        <f t="shared" si="1"/>
        <v>1.5631199504290545E-2</v>
      </c>
      <c r="F44" s="3">
        <f t="shared" si="7"/>
        <v>0.88491632308394474</v>
      </c>
      <c r="G44" s="17">
        <f t="shared" si="8"/>
        <v>-0.53097793868288323</v>
      </c>
      <c r="H44">
        <f t="shared" si="2"/>
        <v>6.6454231487825276E-6</v>
      </c>
      <c r="I44" s="6">
        <f t="shared" si="3"/>
        <v>292.28097561895032</v>
      </c>
      <c r="J44" s="6">
        <f t="shared" si="4"/>
        <v>77.789600891920657</v>
      </c>
      <c r="K44">
        <f t="shared" si="9"/>
        <v>1075.9497170261279</v>
      </c>
      <c r="L44">
        <f>7*10^6/curves!K44</f>
        <v>6505.8802369943978</v>
      </c>
      <c r="M44" s="6">
        <f t="shared" si="10"/>
        <v>2507.9060309721744</v>
      </c>
    </row>
    <row r="45" spans="1:13">
      <c r="A45">
        <v>8</v>
      </c>
      <c r="B45">
        <f t="shared" si="5"/>
        <v>25.132741228718345</v>
      </c>
      <c r="C45">
        <f t="shared" si="6"/>
        <v>50.26548245743669</v>
      </c>
      <c r="D45" s="16">
        <f t="shared" si="0"/>
        <v>0.20504471082115211</v>
      </c>
      <c r="E45" s="16">
        <f t="shared" si="1"/>
        <v>1.6710455168390256E-2</v>
      </c>
      <c r="F45" s="3">
        <f t="shared" si="7"/>
        <v>0.92464457324444793</v>
      </c>
      <c r="G45" s="17">
        <f t="shared" si="8"/>
        <v>-0.34025174874235176</v>
      </c>
      <c r="H45">
        <f t="shared" si="2"/>
        <v>7.7983917899350375E-6</v>
      </c>
      <c r="I45" s="6">
        <f t="shared" si="3"/>
        <v>342.99118499904819</v>
      </c>
      <c r="J45" s="6">
        <f t="shared" si="4"/>
        <v>66.288643662263297</v>
      </c>
      <c r="K45">
        <f t="shared" si="9"/>
        <v>773.35556867077253</v>
      </c>
      <c r="L45">
        <f>7*10^6/curves!K45</f>
        <v>9051.4638848873292</v>
      </c>
      <c r="M45" s="6">
        <f t="shared" si="10"/>
        <v>2303.2765484153265</v>
      </c>
    </row>
    <row r="46" spans="1:13">
      <c r="A46">
        <v>9</v>
      </c>
      <c r="B46">
        <f t="shared" si="5"/>
        <v>28.274333882308138</v>
      </c>
      <c r="C46">
        <f t="shared" si="6"/>
        <v>63.617251235193308</v>
      </c>
      <c r="D46" s="16">
        <f t="shared" si="0"/>
        <v>0.32844197941835429</v>
      </c>
      <c r="E46" s="16">
        <f t="shared" si="1"/>
        <v>1.7724114249423807E-2</v>
      </c>
      <c r="F46" s="3">
        <f t="shared" si="7"/>
        <v>0.94879881486476836</v>
      </c>
      <c r="G46" s="17">
        <f t="shared" si="8"/>
        <v>-0.22825866452423133</v>
      </c>
      <c r="H46">
        <f t="shared" si="2"/>
        <v>8.9752494865557597E-6</v>
      </c>
      <c r="I46" s="6">
        <f t="shared" si="3"/>
        <v>394.7520899153879</v>
      </c>
      <c r="J46" s="6">
        <f t="shared" si="4"/>
        <v>57.596706952388054</v>
      </c>
      <c r="K46">
        <f t="shared" si="9"/>
        <v>570.17728936537424</v>
      </c>
      <c r="L46">
        <f>7*10^6/curves!K46</f>
        <v>12276.883226603477</v>
      </c>
      <c r="M46" s="6">
        <f t="shared" si="10"/>
        <v>2121.6911961888909</v>
      </c>
    </row>
    <row r="47" spans="1:13">
      <c r="A47">
        <v>10</v>
      </c>
      <c r="B47">
        <f t="shared" si="5"/>
        <v>31.415926535897931</v>
      </c>
      <c r="C47">
        <f t="shared" si="6"/>
        <v>78.539816339744831</v>
      </c>
      <c r="D47" s="16">
        <f t="shared" si="0"/>
        <v>0.50059743852820349</v>
      </c>
      <c r="E47" s="16">
        <f t="shared" si="1"/>
        <v>1.8682856845741651E-2</v>
      </c>
      <c r="F47" s="3">
        <f t="shared" si="7"/>
        <v>0.96402163337954561</v>
      </c>
      <c r="G47" s="17">
        <f t="shared" si="8"/>
        <v>-0.15913220088930199</v>
      </c>
      <c r="H47">
        <f t="shared" si="2"/>
        <v>1.0173330192584528E-5</v>
      </c>
      <c r="I47" s="6">
        <f t="shared" si="3"/>
        <v>447.44643153793504</v>
      </c>
      <c r="J47" s="6">
        <f t="shared" si="4"/>
        <v>50.813726156114662</v>
      </c>
      <c r="K47">
        <f t="shared" si="9"/>
        <v>430.83324701904877</v>
      </c>
      <c r="L47">
        <f>7*10^6/curves!K47</f>
        <v>16247.58546011307</v>
      </c>
      <c r="M47" s="6">
        <f t="shared" si="10"/>
        <v>1963.5416927917527</v>
      </c>
    </row>
  </sheetData>
  <mergeCells count="1">
    <mergeCell ref="A29:M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one-off</vt:lpstr>
      <vt:lpstr>pictures</vt:lpstr>
      <vt:lpstr>curves</vt:lpstr>
      <vt:lpstr>A</vt:lpstr>
      <vt:lpstr>D</vt:lpstr>
      <vt:lpstr>F</vt:lpstr>
      <vt:lpstr>Freq2</vt:lpstr>
      <vt:lpstr>L</vt:lpstr>
      <vt:lpstr>P</vt:lpstr>
      <vt:lpstr>Pipe2</vt:lpstr>
      <vt:lpstr>power2</vt:lpstr>
      <vt:lpstr>Q</vt:lpstr>
      <vt:lpstr>Rl</vt:lpstr>
      <vt:lpstr>Rr</vt:lpstr>
      <vt:lpstr>S</vt:lpstr>
      <vt:lpstr>Xl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2017-05-29T21:42:01Z</dcterms:created>
  <dcterms:modified xsi:type="dcterms:W3CDTF">2018-01-14T00:30:27Z</dcterms:modified>
</cp:coreProperties>
</file>